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55" i="1"/>
  <c r="G54"/>
  <c r="G53"/>
  <c r="G52"/>
  <c r="G51"/>
  <c r="G50"/>
  <c r="G34"/>
  <c r="G33"/>
  <c r="G32"/>
  <c r="G31"/>
  <c r="G30"/>
  <c r="R25"/>
  <c r="S25"/>
  <c r="T25" s="1"/>
  <c r="G42"/>
  <c r="N2"/>
  <c r="N3"/>
  <c r="N4"/>
  <c r="N5"/>
  <c r="N6"/>
  <c r="I49"/>
  <c r="N36"/>
  <c r="N37"/>
  <c r="N38"/>
  <c r="N35"/>
  <c r="G27"/>
  <c r="G24"/>
  <c r="G29"/>
  <c r="G22"/>
  <c r="G28"/>
  <c r="G26"/>
  <c r="G25"/>
  <c r="G23"/>
  <c r="G21"/>
  <c r="G18"/>
  <c r="G20"/>
  <c r="G17"/>
  <c r="G38"/>
  <c r="G37"/>
  <c r="G35"/>
  <c r="G36"/>
  <c r="G16"/>
  <c r="S19"/>
  <c r="T19" s="1"/>
  <c r="G19"/>
  <c r="G11"/>
  <c r="G10"/>
  <c r="G13"/>
  <c r="G9"/>
  <c r="G12"/>
  <c r="I55"/>
  <c r="I54"/>
  <c r="I53"/>
  <c r="I50"/>
  <c r="G48"/>
  <c r="I48" s="1"/>
  <c r="G45"/>
  <c r="G46"/>
  <c r="G44"/>
  <c r="G40"/>
  <c r="N47"/>
  <c r="G41"/>
  <c r="H47"/>
  <c r="I4" s="1"/>
  <c r="I43" l="1"/>
  <c r="I2"/>
  <c r="I3"/>
  <c r="I44"/>
  <c r="I40"/>
  <c r="I6"/>
  <c r="I5"/>
  <c r="I51"/>
  <c r="I52"/>
  <c r="I35"/>
  <c r="I38"/>
  <c r="I36"/>
  <c r="I37"/>
  <c r="I23"/>
  <c r="I20"/>
  <c r="I18"/>
  <c r="I21"/>
  <c r="I25"/>
  <c r="I26"/>
  <c r="I28"/>
  <c r="I22"/>
  <c r="I29"/>
  <c r="I24"/>
  <c r="I27"/>
  <c r="I17"/>
  <c r="I42"/>
  <c r="O42" s="1"/>
  <c r="I32"/>
  <c r="I33"/>
  <c r="I12"/>
  <c r="I9"/>
  <c r="I13"/>
  <c r="I10"/>
  <c r="I11"/>
  <c r="I19"/>
  <c r="I16"/>
  <c r="I46"/>
  <c r="O46" s="1"/>
  <c r="I30"/>
  <c r="I31"/>
  <c r="I34"/>
  <c r="I15"/>
  <c r="O40"/>
  <c r="I41"/>
  <c r="O41" s="1"/>
  <c r="O44"/>
  <c r="I45"/>
  <c r="O45" s="1"/>
  <c r="I8"/>
  <c r="I14"/>
  <c r="I7"/>
</calcChain>
</file>

<file path=xl/sharedStrings.xml><?xml version="1.0" encoding="utf-8"?>
<sst xmlns="http://schemas.openxmlformats.org/spreadsheetml/2006/main" count="380" uniqueCount="153">
  <si>
    <t>Коста Даурада</t>
  </si>
  <si>
    <t>San Salvador 3*</t>
  </si>
  <si>
    <t>standard</t>
  </si>
  <si>
    <t>1 ADL + CHD (0-1)</t>
  </si>
  <si>
    <t>A1</t>
  </si>
  <si>
    <t>Программа: "Пляжи мира" Тур: "Только отель"</t>
  </si>
  <si>
    <t>Испания</t>
  </si>
  <si>
    <t>Best Oasis Park 3*</t>
  </si>
  <si>
    <t>Наличие мест и бронирование</t>
  </si>
  <si>
    <t>МОСКВА</t>
  </si>
  <si>
    <t>ЕКАТ</t>
  </si>
  <si>
    <t xml:space="preserve">Коста Даурада </t>
  </si>
  <si>
    <t xml:space="preserve">San Salvador 3* </t>
  </si>
  <si>
    <t xml:space="preserve">standard </t>
  </si>
  <si>
    <t xml:space="preserve">1 ADL + CHD (0-1) </t>
  </si>
  <si>
    <t xml:space="preserve">A1 </t>
  </si>
  <si>
    <t xml:space="preserve">Программа: "Пляжи мира" Тур: "Только отель" </t>
  </si>
  <si>
    <t xml:space="preserve">Испания </t>
  </si>
  <si>
    <t xml:space="preserve">Belvedere 3* </t>
  </si>
  <si>
    <t xml:space="preserve">Eurosalou 3* </t>
  </si>
  <si>
    <t>Программа: "Пляжи мира" Ту</t>
  </si>
  <si>
    <t>Ларнака</t>
  </si>
  <si>
    <t>Fortuna 2* (Larnaca) 2*</t>
  </si>
  <si>
    <t>Программа: "Пляжи мира" Тур: "Стандарт"</t>
  </si>
  <si>
    <t>Кипрские авиалинии, [Москва]</t>
  </si>
  <si>
    <t>Cactus 2*</t>
  </si>
  <si>
    <t>P417</t>
  </si>
  <si>
    <t>Larco 2*</t>
  </si>
  <si>
    <t>Черногория</t>
  </si>
  <si>
    <t>Хорватия</t>
  </si>
  <si>
    <t>Россия</t>
  </si>
  <si>
    <t>Янгантау</t>
  </si>
  <si>
    <t>1 сентября обратно 31 октября</t>
  </si>
  <si>
    <t xml:space="preserve">MATIATE 4* </t>
  </si>
  <si>
    <t xml:space="preserve">SIRIUS 4* </t>
  </si>
  <si>
    <t>KEMER MILLENNIUM PALACE 4*</t>
  </si>
  <si>
    <t>Кемер текирова</t>
  </si>
  <si>
    <t>Кемер Белдиби</t>
  </si>
  <si>
    <t>Екат</t>
  </si>
  <si>
    <t>плюс</t>
  </si>
  <si>
    <t>до санатория и обратно отУФЫ или Челябинска на жд а потом авто</t>
  </si>
  <si>
    <t>Ласточка» пансионат</t>
  </si>
  <si>
    <t>2МЕСТ 2 КОМ СТАНДАРТ</t>
  </si>
  <si>
    <t>250 М ДО МОРЯ СОБСТВ ПЛЯЖ</t>
  </si>
  <si>
    <t>Парус» пансионат, г. Анапа</t>
  </si>
  <si>
    <t>2МЕСТН</t>
  </si>
  <si>
    <t>400 М ДО МОРЯ СОБСТВ ПЛЯЖ</t>
  </si>
  <si>
    <t>«Селена» пансионат</t>
  </si>
  <si>
    <t>150 М ДО МОРЯ СОБСТВ ПЛЯЖ</t>
  </si>
  <si>
    <t>проживание,3-разовое питание, лечение,бассейн(по графику), настольный теннис, библиотека, детская игровая площадка</t>
  </si>
  <si>
    <t>Стандартный 2-местный в корпусе с доп. местом</t>
  </si>
  <si>
    <t>проживание,3-разовое питание, бассейн(по графику)?настольный теннис, библиотека, детская игровая площадка</t>
  </si>
  <si>
    <t>http://www.ryabinushka.ru/fotos.html</t>
  </si>
  <si>
    <t>Панисонат "Рябинушка"</t>
  </si>
  <si>
    <t>100 М ДО МОРЯ СОБСТВ ПЛЯЖ</t>
  </si>
  <si>
    <t>проживание, 3-х раз пит.( с 01.06 по 30.09 заказное меню), культурно-развлекательные и спортивные мероприятия, открытый бассейн, оборудованный пляж, парковка</t>
  </si>
  <si>
    <t>«Шингари» пансионат</t>
  </si>
  <si>
    <t>Стандартный 1-местный 1-комнатный БЕЗ БАЛКОНА????</t>
  </si>
  <si>
    <t>Апарт-т Ирина</t>
  </si>
  <si>
    <t>Двухкомнатный апартамент (2+2)</t>
  </si>
  <si>
    <t>Апартамент Лабович</t>
  </si>
  <si>
    <t>гостинная, спальня, лоджия, интернет</t>
  </si>
  <si>
    <t>Апартаменты "Драгана"</t>
  </si>
  <si>
    <t>Трехместный апартамент-студио (2+1) с видом на море (№1)</t>
  </si>
  <si>
    <t>Будванская ривьера</t>
  </si>
  <si>
    <t>Апартамент-студио 2-местный на 1 эт. Интернет</t>
  </si>
  <si>
    <t>Вилла София</t>
  </si>
  <si>
    <t>Двухместный номер (№2)</t>
  </si>
  <si>
    <t>Вилла Елите</t>
  </si>
  <si>
    <t>Бар-Улцинь</t>
  </si>
  <si>
    <t>пляж собственный но плиты????</t>
  </si>
  <si>
    <t>ICS Travel Group</t>
  </si>
  <si>
    <t>AL</t>
  </si>
  <si>
    <t>Protaras</t>
  </si>
  <si>
    <t>2* LARCO (Standard)</t>
  </si>
  <si>
    <t>HB</t>
  </si>
  <si>
    <t>FB</t>
  </si>
  <si>
    <t>2* SAN REMO (Standard)</t>
  </si>
  <si>
    <t>4* ELIA LATCHI HOLIDAY VILLAGE (Studio)</t>
  </si>
  <si>
    <t>Polis</t>
  </si>
  <si>
    <t>SNGL + Infant</t>
  </si>
  <si>
    <t>Flamingo Beach 3*</t>
  </si>
  <si>
    <t>(Standard)</t>
  </si>
  <si>
    <t>Larnaca</t>
  </si>
  <si>
    <t>Palace 3*</t>
  </si>
  <si>
    <t>Солнечный Берег</t>
  </si>
  <si>
    <t>СВ. Петр и Павел/St.St. Petar &amp; Pavel 3*</t>
  </si>
  <si>
    <t>Поморие</t>
  </si>
  <si>
    <t>standard max 2+1 pax</t>
  </si>
  <si>
    <t>прямо на море</t>
  </si>
  <si>
    <t>50 м до море, интернет</t>
  </si>
  <si>
    <t>Helena 3*</t>
  </si>
  <si>
    <t>прямо на море своя территория</t>
  </si>
  <si>
    <t>4* Princess Residence (Standard)</t>
  </si>
  <si>
    <t>Китен</t>
  </si>
  <si>
    <t>на пляже, бассейн на крыше</t>
  </si>
  <si>
    <t>ТЕЛЕВИЗОР В НЕКОТОРЫХ НОМЕРАХ???</t>
  </si>
  <si>
    <t>50м до пляжа</t>
  </si>
  <si>
    <t xml:space="preserve">на пляже </t>
  </si>
  <si>
    <t>2* AQUARIUS BEACH (Standard)</t>
  </si>
  <si>
    <t>Лимасол</t>
  </si>
  <si>
    <t>3* CAVO MARIS (Standard)</t>
  </si>
  <si>
    <t>на море</t>
  </si>
  <si>
    <t>на море бухта-нет ветра</t>
  </si>
  <si>
    <t>4* CRYSTAL SPRINGS (SSV)</t>
  </si>
  <si>
    <t>Paphos</t>
  </si>
  <si>
    <t>_apt A CORALLIA BEACH (Studio SSV)</t>
  </si>
  <si>
    <t>Studio SSV</t>
  </si>
  <si>
    <t>3* SILVER SANDS (Standard)</t>
  </si>
  <si>
    <t>4* GOLDEN COAST (Standard)</t>
  </si>
  <si>
    <t>плюс еда???</t>
  </si>
  <si>
    <t>до санатория и обратно</t>
  </si>
  <si>
    <t>http://www.natalie-tours.ru/guide/5/970/6206/23215/</t>
  </si>
  <si>
    <t>http://www.natalie-tours.ru/guide/5/970/123/10270/</t>
  </si>
  <si>
    <t>http://www.apelsin.travel/catalog/st._petar_and_pavel</t>
  </si>
  <si>
    <t>http://www.tursvodka.ru/countries/bulgaria/cities/sunny_beach/hotels/palace_sunny_beach/</t>
  </si>
  <si>
    <t>http://turafisha.ua/ru/hotel/21191</t>
  </si>
  <si>
    <t>http://www.findtour.ru/hotels/10776.html</t>
  </si>
  <si>
    <t>http://www.tursvodka.ru/countries/turkey/cities/kemer/hotels/matiate_hotel/</t>
  </si>
  <si>
    <t>http://www.pegast.ru/top/turkey/nhotels?id=632</t>
  </si>
  <si>
    <t>из еката</t>
  </si>
  <si>
    <t>http://sozvezdie-tour.ru/tour/pansionat_shingari</t>
  </si>
  <si>
    <t>http://snc.otzyv.ru/hotel_descr.php?id=11269</t>
  </si>
  <si>
    <t>http://www.kst-ug.ru/cities/anapa/hotels/selena/</t>
  </si>
  <si>
    <t>30/24/1</t>
  </si>
  <si>
    <t>25-27/24/6</t>
  </si>
  <si>
    <t>25/21/4</t>
  </si>
  <si>
    <t>22-26/21/5</t>
  </si>
  <si>
    <t>24/24/4/10-солн дн</t>
  </si>
  <si>
    <t>08.09 Jacaranda Club &amp; Resort(ex.Justiniano Club Belek) Белек Sng (Одноместный+инф+ребенок2-15) Club Room 5*/HV Все включено 21 112674 руб</t>
  </si>
  <si>
    <t>http://www.mostravel.com/hotel/?key=856</t>
  </si>
  <si>
    <t xml:space="preserve">В протарасе мне понравились вот эти отели:  </t>
  </si>
  <si>
    <t>Crystal Springs Beach Hot... 4*</t>
  </si>
  <si>
    <t>CAVO MARIS BEACH HOTEL 3*</t>
  </si>
  <si>
    <t xml:space="preserve">GOLDEN COAST HOTEL 4*  </t>
  </si>
  <si>
    <t>CRYSTAL SPRINGS BEACH HOTEL 4*</t>
  </si>
  <si>
    <t xml:space="preserve">PERNERA BEACH HOTEL 3*  </t>
  </si>
  <si>
    <t>Sunrise Beach 4*</t>
  </si>
  <si>
    <t>синтиана</t>
  </si>
  <si>
    <t>авиабилеты</t>
  </si>
  <si>
    <t>сургут-москва</t>
  </si>
  <si>
    <t>сургут-Екат</t>
  </si>
  <si>
    <t>Температура воздуха/воды/кол-во дождливых дней/солнечных дней</t>
  </si>
  <si>
    <t>тур</t>
  </si>
  <si>
    <t>тур+авиа Сургут-Москва/Екат-Сургут + все сборы, визы, страховк</t>
  </si>
  <si>
    <t>Питание</t>
  </si>
  <si>
    <t>Сайт посмотреть</t>
  </si>
  <si>
    <t>Примечания</t>
  </si>
  <si>
    <t>Виза</t>
  </si>
  <si>
    <t>28 дней</t>
  </si>
  <si>
    <t>21 день</t>
  </si>
  <si>
    <t>60 дней</t>
  </si>
  <si>
    <t>Анапа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</si>
</sst>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</font>
    <font>
      <b/>
      <i/>
      <sz val="11"/>
      <color rgb="FF548DD4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/>
    <xf numFmtId="3" fontId="5" fillId="0" borderId="0" xfId="0" applyNumberFormat="1" applyFont="1"/>
    <xf numFmtId="0" fontId="6" fillId="0" borderId="0" xfId="1" applyFont="1" applyAlignment="1" applyProtection="1"/>
    <xf numFmtId="0" fontId="8" fillId="0" borderId="0" xfId="0" applyFont="1"/>
    <xf numFmtId="3" fontId="8" fillId="0" borderId="0" xfId="0" applyNumberFormat="1" applyFont="1"/>
    <xf numFmtId="0" fontId="0" fillId="0" borderId="0" xfId="0" applyFont="1"/>
    <xf numFmtId="3" fontId="0" fillId="0" borderId="0" xfId="0" applyNumberFormat="1" applyFont="1"/>
    <xf numFmtId="0" fontId="5" fillId="0" borderId="2" xfId="0" applyFont="1" applyBorder="1"/>
    <xf numFmtId="0" fontId="5" fillId="0" borderId="3" xfId="0" applyFont="1" applyBorder="1"/>
    <xf numFmtId="3" fontId="5" fillId="0" borderId="3" xfId="0" applyNumberFormat="1" applyFont="1" applyBorder="1"/>
    <xf numFmtId="0" fontId="5" fillId="0" borderId="4" xfId="0" applyFont="1" applyBorder="1"/>
    <xf numFmtId="0" fontId="5" fillId="0" borderId="0" xfId="0" applyFont="1" applyBorder="1"/>
    <xf numFmtId="3" fontId="5" fillId="0" borderId="0" xfId="0" applyNumberFormat="1" applyFont="1" applyBorder="1"/>
    <xf numFmtId="0" fontId="5" fillId="0" borderId="5" xfId="0" applyFont="1" applyBorder="1"/>
    <xf numFmtId="0" fontId="5" fillId="0" borderId="6" xfId="0" applyFont="1" applyBorder="1"/>
    <xf numFmtId="3" fontId="5" fillId="0" borderId="6" xfId="0" applyNumberFormat="1" applyFont="1" applyBorder="1"/>
    <xf numFmtId="0" fontId="7" fillId="0" borderId="0" xfId="0" applyFont="1" applyBorder="1"/>
    <xf numFmtId="0" fontId="9" fillId="0" borderId="0" xfId="0" applyFont="1" applyBorder="1"/>
    <xf numFmtId="0" fontId="0" fillId="0" borderId="0" xfId="0" applyFont="1" applyBorder="1"/>
    <xf numFmtId="0" fontId="0" fillId="0" borderId="2" xfId="0" applyFont="1" applyBorder="1"/>
    <xf numFmtId="0" fontId="0" fillId="0" borderId="3" xfId="0" applyFont="1" applyBorder="1"/>
    <xf numFmtId="3" fontId="0" fillId="0" borderId="3" xfId="0" applyNumberFormat="1" applyFont="1" applyBorder="1"/>
    <xf numFmtId="0" fontId="0" fillId="0" borderId="4" xfId="0" applyFont="1" applyBorder="1"/>
    <xf numFmtId="0" fontId="0" fillId="3" borderId="0" xfId="0" applyFont="1" applyFill="1" applyBorder="1"/>
    <xf numFmtId="3" fontId="0" fillId="0" borderId="0" xfId="0" applyNumberFormat="1" applyFont="1" applyBorder="1"/>
    <xf numFmtId="3" fontId="0" fillId="3" borderId="0" xfId="0" applyNumberFormat="1" applyFont="1" applyFill="1" applyBorder="1"/>
    <xf numFmtId="0" fontId="2" fillId="0" borderId="0" xfId="1" applyFont="1" applyBorder="1" applyAlignment="1" applyProtection="1"/>
    <xf numFmtId="0" fontId="0" fillId="0" borderId="6" xfId="0" applyFont="1" applyBorder="1"/>
    <xf numFmtId="0" fontId="0" fillId="0" borderId="5" xfId="0" applyFont="1" applyBorder="1"/>
    <xf numFmtId="3" fontId="0" fillId="0" borderId="6" xfId="0" applyNumberFormat="1" applyFont="1" applyBorder="1"/>
    <xf numFmtId="0" fontId="2" fillId="0" borderId="3" xfId="1" applyFont="1" applyBorder="1" applyAlignment="1" applyProtection="1"/>
    <xf numFmtId="0" fontId="0" fillId="2" borderId="0" xfId="0" applyFill="1"/>
    <xf numFmtId="0" fontId="0" fillId="0" borderId="0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0" fontId="10" fillId="0" borderId="7" xfId="0" applyFont="1" applyBorder="1" applyAlignment="1">
      <alignment wrapText="1"/>
    </xf>
    <xf numFmtId="3" fontId="1" fillId="0" borderId="8" xfId="0" applyNumberFormat="1" applyFont="1" applyBorder="1"/>
    <xf numFmtId="3" fontId="1" fillId="2" borderId="9" xfId="0" applyNumberFormat="1" applyFont="1" applyFill="1" applyBorder="1"/>
    <xf numFmtId="3" fontId="1" fillId="0" borderId="9" xfId="0" applyNumberFormat="1" applyFont="1" applyBorder="1"/>
    <xf numFmtId="3" fontId="1" fillId="0" borderId="10" xfId="0" applyNumberFormat="1" applyFont="1" applyBorder="1"/>
    <xf numFmtId="3" fontId="4" fillId="0" borderId="8" xfId="0" applyNumberFormat="1" applyFont="1" applyBorder="1"/>
    <xf numFmtId="3" fontId="4" fillId="0" borderId="9" xfId="0" applyNumberFormat="1" applyFont="1" applyBorder="1"/>
    <xf numFmtId="3" fontId="4" fillId="3" borderId="9" xfId="0" applyNumberFormat="1" applyFont="1" applyFill="1" applyBorder="1"/>
    <xf numFmtId="3" fontId="4" fillId="0" borderId="10" xfId="0" applyNumberFormat="1" applyFont="1" applyBorder="1"/>
    <xf numFmtId="3" fontId="1" fillId="2" borderId="8" xfId="0" applyNumberFormat="1" applyFont="1" applyFill="1" applyBorder="1"/>
    <xf numFmtId="3" fontId="1" fillId="2" borderId="10" xfId="0" applyNumberFormat="1" applyFont="1" applyFill="1" applyBorder="1"/>
    <xf numFmtId="3" fontId="4" fillId="2" borderId="8" xfId="0" applyNumberFormat="1" applyFont="1" applyFill="1" applyBorder="1"/>
    <xf numFmtId="3" fontId="4" fillId="2" borderId="9" xfId="0" applyNumberFormat="1" applyFont="1" applyFill="1" applyBorder="1"/>
    <xf numFmtId="3" fontId="4" fillId="3" borderId="10" xfId="0" applyNumberFormat="1" applyFont="1" applyFill="1" applyBorder="1"/>
    <xf numFmtId="0" fontId="8" fillId="0" borderId="9" xfId="0" applyFont="1" applyBorder="1"/>
    <xf numFmtId="0" fontId="5" fillId="2" borderId="4" xfId="0" applyFont="1" applyFill="1" applyBorder="1"/>
    <xf numFmtId="0" fontId="5" fillId="2" borderId="5" xfId="0" applyFont="1" applyFill="1" applyBorder="1"/>
    <xf numFmtId="3" fontId="1" fillId="3" borderId="9" xfId="0" applyNumberFormat="1" applyFont="1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cs.travel/book/order.html?id=407383634&amp;cid=129810233&amp;infant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ics.travel/book/order.html?id=407422220&amp;cid=129810233&amp;infant=1" TargetMode="External"/><Relationship Id="rId1" Type="http://schemas.openxmlformats.org/officeDocument/2006/relationships/hyperlink" Target="http://ics.travel/hotel/669/index.html" TargetMode="External"/><Relationship Id="rId6" Type="http://schemas.openxmlformats.org/officeDocument/2006/relationships/hyperlink" Target="http://www.natalie-tours.ru/guide/5/970/6206/23215/" TargetMode="External"/><Relationship Id="rId5" Type="http://schemas.openxmlformats.org/officeDocument/2006/relationships/hyperlink" Target="http://ics.travel/hotel/669/index.html" TargetMode="External"/><Relationship Id="rId4" Type="http://schemas.openxmlformats.org/officeDocument/2006/relationships/hyperlink" Target="http://ics.travel/hotel/669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V76"/>
  <sheetViews>
    <sheetView tabSelected="1" topLeftCell="A31" workbookViewId="0">
      <selection activeCell="L16" sqref="L16"/>
    </sheetView>
  </sheetViews>
  <sheetFormatPr defaultRowHeight="15"/>
  <cols>
    <col min="1" max="2" width="11.7109375" style="43" customWidth="1"/>
    <col min="3" max="3" width="9.140625" style="3"/>
    <col min="4" max="4" width="35.5703125" style="3" customWidth="1"/>
    <col min="5" max="5" width="9.140625" style="3"/>
    <col min="6" max="6" width="18.28515625" style="3" customWidth="1"/>
    <col min="7" max="7" width="12.5703125" style="4" customWidth="1"/>
    <col min="8" max="8" width="14.42578125" style="3" customWidth="1"/>
    <col min="9" max="9" width="12.5703125" style="55" customWidth="1"/>
    <col min="10" max="11" width="12.5703125" style="4" customWidth="1"/>
    <col min="12" max="13" width="9.140625" style="3"/>
    <col min="14" max="14" width="12.5703125" style="4" customWidth="1"/>
    <col min="15" max="16384" width="9.140625" style="3"/>
  </cols>
  <sheetData>
    <row r="1" spans="1:22" ht="69" thickBot="1">
      <c r="A1" s="45" t="s">
        <v>142</v>
      </c>
      <c r="B1" s="46"/>
      <c r="G1" s="45" t="s">
        <v>143</v>
      </c>
      <c r="I1" s="45" t="s">
        <v>144</v>
      </c>
      <c r="J1" s="49" t="s">
        <v>145</v>
      </c>
      <c r="K1" s="45" t="s">
        <v>146</v>
      </c>
      <c r="L1" s="45" t="s">
        <v>147</v>
      </c>
      <c r="N1" s="45" t="s">
        <v>148</v>
      </c>
    </row>
    <row r="2" spans="1:22" s="23" customFormat="1">
      <c r="A2" s="35" t="s">
        <v>125</v>
      </c>
      <c r="B2" s="47" t="s">
        <v>150</v>
      </c>
      <c r="C2" s="22" t="s">
        <v>0</v>
      </c>
      <c r="D2" s="23" t="s">
        <v>1</v>
      </c>
      <c r="E2" s="23" t="s">
        <v>2</v>
      </c>
      <c r="F2" s="23" t="s">
        <v>3</v>
      </c>
      <c r="G2" s="24">
        <v>58548</v>
      </c>
      <c r="H2" s="23" t="s">
        <v>4</v>
      </c>
      <c r="I2" s="50">
        <f>G2+N2+$N$47</f>
        <v>77708</v>
      </c>
      <c r="J2" s="23" t="s">
        <v>76</v>
      </c>
      <c r="N2" s="23">
        <f>60*41</f>
        <v>2460</v>
      </c>
      <c r="O2" s="23" t="s">
        <v>5</v>
      </c>
      <c r="P2" s="23" t="s">
        <v>6</v>
      </c>
      <c r="Q2" s="23" t="s">
        <v>8</v>
      </c>
      <c r="U2" s="23" t="s">
        <v>10</v>
      </c>
    </row>
    <row r="3" spans="1:22" s="21" customFormat="1">
      <c r="A3" s="35"/>
      <c r="B3" s="35"/>
      <c r="C3" s="25" t="s">
        <v>0</v>
      </c>
      <c r="D3" s="26" t="s">
        <v>7</v>
      </c>
      <c r="E3" s="21" t="s">
        <v>2</v>
      </c>
      <c r="F3" s="21" t="s">
        <v>3</v>
      </c>
      <c r="G3" s="27">
        <v>66871</v>
      </c>
      <c r="H3" s="21" t="s">
        <v>4</v>
      </c>
      <c r="I3" s="52">
        <f>G3+N3+$N$47</f>
        <v>86031</v>
      </c>
      <c r="J3" s="21" t="s">
        <v>76</v>
      </c>
      <c r="K3" s="21" t="s">
        <v>113</v>
      </c>
      <c r="L3" s="21">
        <v>350</v>
      </c>
      <c r="N3" s="21">
        <f>60*41</f>
        <v>2460</v>
      </c>
      <c r="O3" s="21" t="s">
        <v>5</v>
      </c>
      <c r="P3" s="21" t="s">
        <v>6</v>
      </c>
    </row>
    <row r="4" spans="1:22" s="21" customFormat="1">
      <c r="A4" s="35"/>
      <c r="B4" s="35"/>
      <c r="C4" s="25" t="s">
        <v>11</v>
      </c>
      <c r="D4" s="21" t="s">
        <v>12</v>
      </c>
      <c r="E4" s="21" t="s">
        <v>13</v>
      </c>
      <c r="F4" s="21" t="s">
        <v>14</v>
      </c>
      <c r="G4" s="28">
        <v>50512</v>
      </c>
      <c r="H4" s="21" t="s">
        <v>15</v>
      </c>
      <c r="I4" s="66">
        <f>G4+$H$47+N4</f>
        <v>65372</v>
      </c>
      <c r="J4" s="21" t="s">
        <v>76</v>
      </c>
      <c r="K4" s="29" t="s">
        <v>112</v>
      </c>
      <c r="L4" s="21">
        <v>100</v>
      </c>
      <c r="N4" s="21">
        <f>60*41</f>
        <v>2460</v>
      </c>
      <c r="O4" s="21" t="s">
        <v>16</v>
      </c>
      <c r="P4" s="21" t="s">
        <v>17</v>
      </c>
      <c r="Q4" s="21" t="s">
        <v>8</v>
      </c>
      <c r="U4" s="21" t="s">
        <v>9</v>
      </c>
    </row>
    <row r="5" spans="1:22" s="21" customFormat="1">
      <c r="A5" s="35"/>
      <c r="B5" s="35"/>
      <c r="C5" s="25" t="s">
        <v>11</v>
      </c>
      <c r="D5" s="21" t="s">
        <v>18</v>
      </c>
      <c r="E5" s="21" t="s">
        <v>13</v>
      </c>
      <c r="F5" s="21" t="s">
        <v>14</v>
      </c>
      <c r="G5" s="27">
        <v>57869</v>
      </c>
      <c r="H5" s="21" t="s">
        <v>15</v>
      </c>
      <c r="I5" s="52">
        <f>G5+$H$47+N5</f>
        <v>72729</v>
      </c>
      <c r="J5" s="21" t="s">
        <v>76</v>
      </c>
      <c r="N5" s="21">
        <f t="shared" ref="N5:N6" si="0">60*41</f>
        <v>2460</v>
      </c>
      <c r="O5" s="21" t="s">
        <v>16</v>
      </c>
      <c r="P5" s="21" t="s">
        <v>17</v>
      </c>
      <c r="Q5" s="21" t="s">
        <v>8</v>
      </c>
    </row>
    <row r="6" spans="1:22" s="30" customFormat="1" ht="15.75" thickBot="1">
      <c r="A6" s="36"/>
      <c r="B6" s="36"/>
      <c r="C6" s="31" t="s">
        <v>11</v>
      </c>
      <c r="D6" s="30" t="s">
        <v>19</v>
      </c>
      <c r="E6" s="30" t="s">
        <v>13</v>
      </c>
      <c r="F6" s="30" t="s">
        <v>14</v>
      </c>
      <c r="G6" s="32">
        <v>58403</v>
      </c>
      <c r="H6" s="30" t="s">
        <v>15</v>
      </c>
      <c r="I6" s="53">
        <f>G6+$H$47+N6</f>
        <v>73263</v>
      </c>
      <c r="J6" s="30" t="s">
        <v>76</v>
      </c>
      <c r="N6" s="30">
        <f t="shared" si="0"/>
        <v>2460</v>
      </c>
      <c r="O6" s="30" t="s">
        <v>20</v>
      </c>
    </row>
    <row r="7" spans="1:22" s="11" customFormat="1">
      <c r="A7" s="37" t="s">
        <v>124</v>
      </c>
      <c r="B7" s="47" t="s">
        <v>150</v>
      </c>
      <c r="C7" s="10" t="s">
        <v>21</v>
      </c>
      <c r="D7" s="11" t="s">
        <v>22</v>
      </c>
      <c r="E7" s="11" t="s">
        <v>2</v>
      </c>
      <c r="F7" s="11" t="s">
        <v>3</v>
      </c>
      <c r="G7" s="12">
        <v>54745</v>
      </c>
      <c r="H7" s="11" t="s">
        <v>4</v>
      </c>
      <c r="I7" s="54">
        <f>G7+$H$47</f>
        <v>67145</v>
      </c>
      <c r="J7" s="11" t="s">
        <v>76</v>
      </c>
      <c r="N7" s="12"/>
      <c r="O7" s="11" t="s">
        <v>23</v>
      </c>
      <c r="P7" s="11" t="s">
        <v>24</v>
      </c>
      <c r="Q7" s="11" t="s">
        <v>8</v>
      </c>
      <c r="U7" s="11" t="s">
        <v>9</v>
      </c>
    </row>
    <row r="8" spans="1:22" s="14" customFormat="1">
      <c r="A8" s="38"/>
      <c r="B8" s="38"/>
      <c r="C8" s="13" t="s">
        <v>21</v>
      </c>
      <c r="D8" s="14" t="s">
        <v>25</v>
      </c>
      <c r="E8" s="14" t="s">
        <v>2</v>
      </c>
      <c r="F8" s="14" t="s">
        <v>3</v>
      </c>
      <c r="G8" s="15">
        <v>61527</v>
      </c>
      <c r="H8" s="14" t="s">
        <v>26</v>
      </c>
      <c r="I8" s="55">
        <f t="shared" ref="I8:I34" si="1">G8+$H$47*1.03</f>
        <v>74299</v>
      </c>
      <c r="J8" s="14" t="s">
        <v>76</v>
      </c>
      <c r="N8" s="15"/>
      <c r="O8" s="14" t="s">
        <v>23</v>
      </c>
      <c r="P8" s="14" t="s">
        <v>24</v>
      </c>
      <c r="Q8" s="14" t="s">
        <v>8</v>
      </c>
      <c r="V8" s="14">
        <v>60</v>
      </c>
    </row>
    <row r="9" spans="1:22" s="14" customFormat="1">
      <c r="A9" s="38"/>
      <c r="B9" s="38"/>
      <c r="C9" s="13" t="s">
        <v>21</v>
      </c>
      <c r="D9" s="14" t="s">
        <v>25</v>
      </c>
      <c r="E9" s="14" t="s">
        <v>2</v>
      </c>
      <c r="F9" s="14" t="s">
        <v>3</v>
      </c>
      <c r="G9" s="15">
        <f>67791+2046</f>
        <v>69837</v>
      </c>
      <c r="I9" s="55">
        <f t="shared" si="1"/>
        <v>82609</v>
      </c>
      <c r="J9" s="14" t="s">
        <v>72</v>
      </c>
      <c r="O9" s="14" t="s">
        <v>71</v>
      </c>
    </row>
    <row r="10" spans="1:22" s="14" customFormat="1">
      <c r="A10" s="38"/>
      <c r="B10" s="38"/>
      <c r="C10" s="13" t="s">
        <v>21</v>
      </c>
      <c r="D10" s="14" t="s">
        <v>25</v>
      </c>
      <c r="E10" s="14" t="s">
        <v>2</v>
      </c>
      <c r="F10" s="14" t="s">
        <v>3</v>
      </c>
      <c r="G10" s="15">
        <f>54945+2046</f>
        <v>56991</v>
      </c>
      <c r="I10" s="55">
        <f t="shared" si="1"/>
        <v>69763</v>
      </c>
      <c r="J10" s="14" t="s">
        <v>75</v>
      </c>
      <c r="O10" s="14" t="s">
        <v>71</v>
      </c>
    </row>
    <row r="11" spans="1:22" s="14" customFormat="1">
      <c r="A11" s="38"/>
      <c r="B11" s="38"/>
      <c r="C11" s="13" t="s">
        <v>21</v>
      </c>
      <c r="D11" s="14" t="s">
        <v>77</v>
      </c>
      <c r="E11" s="14" t="s">
        <v>2</v>
      </c>
      <c r="F11" s="14" t="s">
        <v>3</v>
      </c>
      <c r="G11" s="15">
        <f>54945+2046</f>
        <v>56991</v>
      </c>
      <c r="I11" s="55">
        <f t="shared" si="1"/>
        <v>69763</v>
      </c>
      <c r="J11" s="14" t="s">
        <v>75</v>
      </c>
      <c r="O11" s="14" t="s">
        <v>71</v>
      </c>
    </row>
    <row r="12" spans="1:22" s="14" customFormat="1">
      <c r="A12" s="38"/>
      <c r="B12" s="38"/>
      <c r="C12" s="13" t="s">
        <v>21</v>
      </c>
      <c r="D12" s="14" t="s">
        <v>74</v>
      </c>
      <c r="E12" s="14" t="s">
        <v>2</v>
      </c>
      <c r="F12" s="14" t="s">
        <v>3</v>
      </c>
      <c r="G12" s="14">
        <f>61859+2046</f>
        <v>63905</v>
      </c>
      <c r="I12" s="61">
        <f t="shared" si="1"/>
        <v>76677</v>
      </c>
      <c r="J12" s="14" t="s">
        <v>72</v>
      </c>
      <c r="O12" s="14" t="s">
        <v>71</v>
      </c>
    </row>
    <row r="13" spans="1:22" s="14" customFormat="1">
      <c r="A13" s="38"/>
      <c r="B13" s="38"/>
      <c r="C13" s="13" t="s">
        <v>21</v>
      </c>
      <c r="D13" s="14" t="s">
        <v>74</v>
      </c>
      <c r="E13" s="14" t="s">
        <v>2</v>
      </c>
      <c r="F13" s="14" t="s">
        <v>3</v>
      </c>
      <c r="G13" s="14">
        <f>50035+2046</f>
        <v>52081</v>
      </c>
      <c r="I13" s="61">
        <f t="shared" si="1"/>
        <v>64853</v>
      </c>
      <c r="J13" s="14" t="s">
        <v>75</v>
      </c>
      <c r="O13" s="14" t="s">
        <v>71</v>
      </c>
    </row>
    <row r="14" spans="1:22" s="14" customFormat="1">
      <c r="A14" s="38"/>
      <c r="B14" s="38"/>
      <c r="C14" s="13" t="s">
        <v>21</v>
      </c>
      <c r="D14" s="14" t="s">
        <v>27</v>
      </c>
      <c r="E14" s="14" t="s">
        <v>2</v>
      </c>
      <c r="F14" s="14" t="s">
        <v>3</v>
      </c>
      <c r="G14" s="15">
        <v>62760</v>
      </c>
      <c r="H14" s="14" t="s">
        <v>4</v>
      </c>
      <c r="I14" s="61">
        <f t="shared" si="1"/>
        <v>75532</v>
      </c>
      <c r="J14" s="14" t="s">
        <v>76</v>
      </c>
      <c r="N14" s="15"/>
      <c r="O14" s="14" t="s">
        <v>23</v>
      </c>
      <c r="P14" s="14" t="s">
        <v>24</v>
      </c>
      <c r="Q14" s="14" t="s">
        <v>8</v>
      </c>
      <c r="V14" s="14">
        <v>60</v>
      </c>
    </row>
    <row r="15" spans="1:22" s="14" customFormat="1">
      <c r="A15" s="38"/>
      <c r="B15" s="38"/>
      <c r="C15" s="13" t="s">
        <v>21</v>
      </c>
      <c r="D15" s="20" t="s">
        <v>25</v>
      </c>
      <c r="E15" s="14" t="s">
        <v>2</v>
      </c>
      <c r="F15" s="14" t="s">
        <v>3</v>
      </c>
      <c r="G15" s="15">
        <v>62760</v>
      </c>
      <c r="H15" s="14" t="s">
        <v>4</v>
      </c>
      <c r="I15" s="61">
        <f t="shared" si="1"/>
        <v>75532</v>
      </c>
      <c r="J15" s="14" t="s">
        <v>76</v>
      </c>
      <c r="N15" s="15"/>
      <c r="O15" s="14" t="s">
        <v>23</v>
      </c>
      <c r="P15" s="14" t="s">
        <v>24</v>
      </c>
      <c r="Q15" s="14" t="s">
        <v>8</v>
      </c>
      <c r="V15" s="14">
        <v>60</v>
      </c>
    </row>
    <row r="16" spans="1:22" s="14" customFormat="1">
      <c r="A16" s="38"/>
      <c r="B16" s="38"/>
      <c r="C16" s="13" t="s">
        <v>83</v>
      </c>
      <c r="D16" s="20" t="s">
        <v>81</v>
      </c>
      <c r="E16" s="14" t="s">
        <v>82</v>
      </c>
      <c r="F16" s="14" t="s">
        <v>80</v>
      </c>
      <c r="G16" s="15">
        <f>89515+2046</f>
        <v>91561</v>
      </c>
      <c r="I16" s="55">
        <f t="shared" si="1"/>
        <v>104333</v>
      </c>
      <c r="J16" s="14" t="s">
        <v>72</v>
      </c>
      <c r="L16" s="14" t="s">
        <v>95</v>
      </c>
      <c r="N16" s="15"/>
      <c r="O16" s="14" t="s">
        <v>71</v>
      </c>
    </row>
    <row r="17" spans="1:21" s="14" customFormat="1">
      <c r="A17" s="38"/>
      <c r="B17" s="38"/>
      <c r="C17" s="13" t="s">
        <v>83</v>
      </c>
      <c r="D17" s="20" t="s">
        <v>81</v>
      </c>
      <c r="E17" s="14" t="s">
        <v>82</v>
      </c>
      <c r="F17" s="14" t="s">
        <v>80</v>
      </c>
      <c r="G17" s="14">
        <f>75687+2046</f>
        <v>77733</v>
      </c>
      <c r="I17" s="55">
        <f t="shared" si="1"/>
        <v>90505</v>
      </c>
      <c r="J17" s="14" t="s">
        <v>75</v>
      </c>
      <c r="L17" s="14" t="s">
        <v>95</v>
      </c>
      <c r="N17" s="15"/>
      <c r="O17" s="14" t="s">
        <v>71</v>
      </c>
    </row>
    <row r="18" spans="1:21" s="14" customFormat="1">
      <c r="A18" s="38"/>
      <c r="B18" s="38"/>
      <c r="C18" s="13" t="s">
        <v>100</v>
      </c>
      <c r="D18" s="20" t="s">
        <v>99</v>
      </c>
      <c r="E18" s="14" t="s">
        <v>82</v>
      </c>
      <c r="F18" s="14" t="s">
        <v>80</v>
      </c>
      <c r="G18" s="14">
        <f>71678+2046</f>
        <v>73724</v>
      </c>
      <c r="I18" s="55">
        <f t="shared" si="1"/>
        <v>86496</v>
      </c>
      <c r="J18" s="14" t="s">
        <v>75</v>
      </c>
      <c r="L18" s="14" t="s">
        <v>98</v>
      </c>
      <c r="N18" s="15"/>
      <c r="O18" s="14" t="s">
        <v>71</v>
      </c>
    </row>
    <row r="19" spans="1:21" s="14" customFormat="1">
      <c r="A19" s="38"/>
      <c r="B19" s="38"/>
      <c r="C19" s="13" t="s">
        <v>79</v>
      </c>
      <c r="D19" s="14" t="s">
        <v>78</v>
      </c>
      <c r="E19" s="14" t="s">
        <v>2</v>
      </c>
      <c r="F19" s="14" t="s">
        <v>80</v>
      </c>
      <c r="G19" s="15">
        <f>87674+2046</f>
        <v>89720</v>
      </c>
      <c r="I19" s="55">
        <f t="shared" si="1"/>
        <v>102492</v>
      </c>
      <c r="J19" s="14" t="s">
        <v>72</v>
      </c>
      <c r="L19" s="14" t="s">
        <v>96</v>
      </c>
      <c r="M19" s="14" t="s">
        <v>97</v>
      </c>
      <c r="O19" s="14" t="s">
        <v>71</v>
      </c>
      <c r="S19" s="14">
        <f>80*21</f>
        <v>1680</v>
      </c>
      <c r="T19" s="14">
        <f>S19*41*1.03</f>
        <v>70946.400000000009</v>
      </c>
    </row>
    <row r="20" spans="1:21" s="14" customFormat="1">
      <c r="A20" s="38"/>
      <c r="B20" s="38"/>
      <c r="C20" s="13" t="s">
        <v>79</v>
      </c>
      <c r="D20" s="14" t="s">
        <v>78</v>
      </c>
      <c r="E20" s="14" t="s">
        <v>2</v>
      </c>
      <c r="F20" s="14" t="s">
        <v>80</v>
      </c>
      <c r="G20" s="15">
        <f>73437+2046</f>
        <v>75483</v>
      </c>
      <c r="I20" s="55">
        <f t="shared" si="1"/>
        <v>88255</v>
      </c>
      <c r="J20" s="14" t="s">
        <v>75</v>
      </c>
      <c r="L20" s="14" t="s">
        <v>96</v>
      </c>
      <c r="M20" s="14" t="s">
        <v>97</v>
      </c>
      <c r="O20" s="14" t="s">
        <v>71</v>
      </c>
    </row>
    <row r="21" spans="1:21" s="14" customFormat="1">
      <c r="A21" s="38"/>
      <c r="B21" s="38"/>
      <c r="C21" s="13" t="s">
        <v>73</v>
      </c>
      <c r="D21" s="14" t="s">
        <v>101</v>
      </c>
      <c r="E21" s="14" t="s">
        <v>2</v>
      </c>
      <c r="F21" s="14" t="s">
        <v>80</v>
      </c>
      <c r="G21" s="15">
        <f>76669+2046</f>
        <v>78715</v>
      </c>
      <c r="I21" s="55">
        <f t="shared" si="1"/>
        <v>91487</v>
      </c>
      <c r="J21" s="14" t="s">
        <v>75</v>
      </c>
      <c r="L21" s="14" t="s">
        <v>103</v>
      </c>
      <c r="O21" s="14" t="s">
        <v>71</v>
      </c>
    </row>
    <row r="22" spans="1:21" s="14" customFormat="1">
      <c r="A22" s="38"/>
      <c r="B22" s="38"/>
      <c r="C22" s="13" t="s">
        <v>73</v>
      </c>
      <c r="D22" s="14" t="s">
        <v>101</v>
      </c>
      <c r="E22" s="14" t="s">
        <v>2</v>
      </c>
      <c r="F22" s="14" t="s">
        <v>80</v>
      </c>
      <c r="G22" s="15">
        <f>96388+2046</f>
        <v>98434</v>
      </c>
      <c r="I22" s="55">
        <f t="shared" si="1"/>
        <v>111206</v>
      </c>
      <c r="J22" s="14" t="s">
        <v>72</v>
      </c>
      <c r="L22" s="14" t="s">
        <v>103</v>
      </c>
      <c r="O22" s="14" t="s">
        <v>71</v>
      </c>
    </row>
    <row r="23" spans="1:21" s="14" customFormat="1">
      <c r="A23" s="38"/>
      <c r="B23" s="38"/>
      <c r="C23" s="13" t="s">
        <v>73</v>
      </c>
      <c r="D23" s="14" t="s">
        <v>104</v>
      </c>
      <c r="E23" s="14" t="s">
        <v>2</v>
      </c>
      <c r="F23" s="14" t="s">
        <v>80</v>
      </c>
      <c r="G23" s="15">
        <f>79655+2046</f>
        <v>81701</v>
      </c>
      <c r="I23" s="55">
        <f t="shared" si="1"/>
        <v>94473</v>
      </c>
      <c r="J23" s="14" t="s">
        <v>75</v>
      </c>
      <c r="L23" s="14" t="s">
        <v>103</v>
      </c>
      <c r="O23" s="14" t="s">
        <v>71</v>
      </c>
    </row>
    <row r="24" spans="1:21" s="14" customFormat="1">
      <c r="A24" s="38"/>
      <c r="B24" s="38"/>
      <c r="C24" s="13" t="s">
        <v>73</v>
      </c>
      <c r="D24" s="14" t="s">
        <v>104</v>
      </c>
      <c r="E24" s="14" t="s">
        <v>2</v>
      </c>
      <c r="F24" s="14" t="s">
        <v>80</v>
      </c>
      <c r="G24" s="15">
        <f>98393+2046</f>
        <v>100439</v>
      </c>
      <c r="I24" s="55">
        <f t="shared" si="1"/>
        <v>113211</v>
      </c>
      <c r="J24" s="14" t="s">
        <v>72</v>
      </c>
      <c r="L24" s="14" t="s">
        <v>103</v>
      </c>
      <c r="O24" s="14" t="s">
        <v>71</v>
      </c>
    </row>
    <row r="25" spans="1:21" s="14" customFormat="1">
      <c r="A25" s="38"/>
      <c r="B25" s="38"/>
      <c r="C25" s="13" t="s">
        <v>105</v>
      </c>
      <c r="D25" s="14" t="s">
        <v>106</v>
      </c>
      <c r="E25" s="14" t="s">
        <v>107</v>
      </c>
      <c r="F25" s="14" t="s">
        <v>80</v>
      </c>
      <c r="G25" s="15">
        <f>77119+2046</f>
        <v>79165</v>
      </c>
      <c r="I25" s="55">
        <f t="shared" si="1"/>
        <v>91937</v>
      </c>
      <c r="J25" s="14" t="s">
        <v>75</v>
      </c>
      <c r="L25" s="14" t="s">
        <v>102</v>
      </c>
      <c r="O25" s="14" t="s">
        <v>71</v>
      </c>
      <c r="R25" s="34">
        <f>1776*0.95+(1.5*30*2)+200</f>
        <v>1977.1999999999998</v>
      </c>
      <c r="S25" s="34">
        <f>R25*41*1.03</f>
        <v>83497.156000000003</v>
      </c>
      <c r="T25" s="34">
        <f>S25+18500+12400</f>
        <v>114397.156</v>
      </c>
      <c r="U25" s="14" t="s">
        <v>138</v>
      </c>
    </row>
    <row r="26" spans="1:21" s="14" customFormat="1">
      <c r="A26" s="38"/>
      <c r="B26" s="38"/>
      <c r="C26" s="64" t="s">
        <v>73</v>
      </c>
      <c r="D26" s="14" t="s">
        <v>108</v>
      </c>
      <c r="E26" s="14" t="s">
        <v>2</v>
      </c>
      <c r="F26" s="14" t="s">
        <v>80</v>
      </c>
      <c r="G26" s="15">
        <f>80637+2046</f>
        <v>82683</v>
      </c>
      <c r="I26" s="55">
        <f t="shared" si="1"/>
        <v>95455</v>
      </c>
      <c r="J26" s="14" t="s">
        <v>75</v>
      </c>
      <c r="L26" s="14" t="s">
        <v>102</v>
      </c>
      <c r="O26" s="14" t="s">
        <v>71</v>
      </c>
    </row>
    <row r="27" spans="1:21" s="14" customFormat="1">
      <c r="A27" s="38"/>
      <c r="B27" s="38"/>
      <c r="C27" s="64" t="s">
        <v>73</v>
      </c>
      <c r="D27" s="14" t="s">
        <v>108</v>
      </c>
      <c r="E27" s="14" t="s">
        <v>2</v>
      </c>
      <c r="F27" s="14" t="s">
        <v>80</v>
      </c>
      <c r="G27" s="14">
        <f>100282+2043</f>
        <v>102325</v>
      </c>
      <c r="I27" s="55">
        <f t="shared" si="1"/>
        <v>115097</v>
      </c>
      <c r="J27" s="14" t="s">
        <v>72</v>
      </c>
      <c r="L27" s="14" t="s">
        <v>102</v>
      </c>
      <c r="O27" s="14" t="s">
        <v>71</v>
      </c>
    </row>
    <row r="28" spans="1:21" s="14" customFormat="1">
      <c r="A28" s="38"/>
      <c r="B28" s="38"/>
      <c r="C28" s="64" t="s">
        <v>73</v>
      </c>
      <c r="D28" s="14" t="s">
        <v>109</v>
      </c>
      <c r="E28" s="14" t="s">
        <v>2</v>
      </c>
      <c r="F28" s="14" t="s">
        <v>80</v>
      </c>
      <c r="G28" s="15">
        <f>83051+2046</f>
        <v>85097</v>
      </c>
      <c r="I28" s="55">
        <f t="shared" si="1"/>
        <v>97869</v>
      </c>
      <c r="J28" s="14" t="s">
        <v>75</v>
      </c>
      <c r="L28" s="14" t="s">
        <v>102</v>
      </c>
      <c r="O28" s="14" t="s">
        <v>71</v>
      </c>
    </row>
    <row r="29" spans="1:21" s="17" customFormat="1" ht="15.75" thickBot="1">
      <c r="A29" s="39"/>
      <c r="B29" s="39"/>
      <c r="C29" s="65" t="s">
        <v>73</v>
      </c>
      <c r="D29" s="17" t="s">
        <v>109</v>
      </c>
      <c r="E29" s="17" t="s">
        <v>2</v>
      </c>
      <c r="F29" s="17" t="s">
        <v>80</v>
      </c>
      <c r="G29" s="17">
        <f>96920+2046</f>
        <v>98966</v>
      </c>
      <c r="I29" s="57">
        <f t="shared" si="1"/>
        <v>111738</v>
      </c>
      <c r="J29" s="17" t="s">
        <v>72</v>
      </c>
      <c r="L29" s="17" t="s">
        <v>102</v>
      </c>
      <c r="O29" s="17" t="s">
        <v>71</v>
      </c>
    </row>
    <row r="30" spans="1:21" s="8" customFormat="1">
      <c r="A30" s="40" t="s">
        <v>127</v>
      </c>
      <c r="B30" s="40" t="s">
        <v>150</v>
      </c>
      <c r="C30" s="8" t="s">
        <v>28</v>
      </c>
      <c r="D30" s="8" t="s">
        <v>58</v>
      </c>
      <c r="E30" s="8" t="s">
        <v>61</v>
      </c>
      <c r="F30" s="8" t="s">
        <v>3</v>
      </c>
      <c r="G30" s="9">
        <f>(350+200+50+30+(40*21))*41</f>
        <v>60270</v>
      </c>
      <c r="I30" s="52">
        <f t="shared" si="1"/>
        <v>73042</v>
      </c>
      <c r="J30" s="9" t="s">
        <v>110</v>
      </c>
      <c r="K30" s="9"/>
      <c r="N30" s="9"/>
    </row>
    <row r="31" spans="1:21" s="8" customFormat="1">
      <c r="A31" s="41"/>
      <c r="B31" s="41"/>
      <c r="C31" s="8" t="s">
        <v>64</v>
      </c>
      <c r="D31" s="8" t="s">
        <v>62</v>
      </c>
      <c r="E31" s="8" t="s">
        <v>63</v>
      </c>
      <c r="G31" s="9">
        <f>(350+200+50+30+(35*10)+(29*11))*41</f>
        <v>53259</v>
      </c>
      <c r="I31" s="52">
        <f t="shared" si="1"/>
        <v>66031</v>
      </c>
      <c r="J31" s="9" t="s">
        <v>110</v>
      </c>
      <c r="K31" s="9"/>
      <c r="N31" s="9"/>
    </row>
    <row r="32" spans="1:21" s="8" customFormat="1">
      <c r="A32" s="41"/>
      <c r="B32" s="41"/>
      <c r="C32" s="8" t="s">
        <v>64</v>
      </c>
      <c r="D32" s="8" t="s">
        <v>60</v>
      </c>
      <c r="E32" s="8" t="s">
        <v>59</v>
      </c>
      <c r="G32" s="9">
        <f>(350+200+50+30+(55*21))*41</f>
        <v>73185</v>
      </c>
      <c r="I32" s="52">
        <f t="shared" si="1"/>
        <v>85957</v>
      </c>
      <c r="J32" s="9" t="s">
        <v>110</v>
      </c>
      <c r="K32" s="9"/>
      <c r="N32" s="9"/>
    </row>
    <row r="33" spans="1:21" s="8" customFormat="1">
      <c r="A33" s="41"/>
      <c r="B33" s="41"/>
      <c r="C33" s="8" t="s">
        <v>64</v>
      </c>
      <c r="D33" s="8" t="s">
        <v>66</v>
      </c>
      <c r="E33" s="8" t="s">
        <v>65</v>
      </c>
      <c r="G33" s="9">
        <f>(350+200+50+30+(45*21))*41</f>
        <v>64575</v>
      </c>
      <c r="I33" s="52">
        <f t="shared" si="1"/>
        <v>77347</v>
      </c>
      <c r="J33" s="9" t="s">
        <v>110</v>
      </c>
      <c r="K33" s="9"/>
      <c r="N33" s="9"/>
    </row>
    <row r="34" spans="1:21" s="8" customFormat="1" ht="15.75" thickBot="1">
      <c r="A34" s="41"/>
      <c r="B34" s="41"/>
      <c r="C34" s="2" t="s">
        <v>69</v>
      </c>
      <c r="D34" s="8" t="s">
        <v>68</v>
      </c>
      <c r="E34" s="8" t="s">
        <v>67</v>
      </c>
      <c r="F34" s="8" t="s">
        <v>70</v>
      </c>
      <c r="G34" s="9">
        <f>(350+200+50+30+(46*21))*41</f>
        <v>65436</v>
      </c>
      <c r="I34" s="52">
        <f t="shared" si="1"/>
        <v>78208</v>
      </c>
      <c r="J34" s="9" t="s">
        <v>110</v>
      </c>
      <c r="K34" s="9"/>
      <c r="N34" s="9"/>
    </row>
    <row r="35" spans="1:21" s="23" customFormat="1">
      <c r="A35" s="42" t="s">
        <v>126</v>
      </c>
      <c r="B35" s="48" t="s">
        <v>149</v>
      </c>
      <c r="C35" s="22" t="s">
        <v>87</v>
      </c>
      <c r="D35" s="23" t="s">
        <v>86</v>
      </c>
      <c r="E35" s="23" t="s">
        <v>88</v>
      </c>
      <c r="F35" s="23" t="s">
        <v>80</v>
      </c>
      <c r="G35" s="33">
        <f>32648+2046</f>
        <v>34694</v>
      </c>
      <c r="I35" s="58">
        <f>(G35+N35)*1.03+$H$47</f>
        <v>50879.770000000004</v>
      </c>
      <c r="J35" s="23" t="s">
        <v>72</v>
      </c>
      <c r="K35" s="23" t="s">
        <v>114</v>
      </c>
      <c r="L35" s="23" t="s">
        <v>90</v>
      </c>
      <c r="N35" s="24">
        <f>65*41</f>
        <v>2665</v>
      </c>
      <c r="O35" s="23" t="s">
        <v>71</v>
      </c>
    </row>
    <row r="36" spans="1:21" s="21" customFormat="1" ht="30">
      <c r="A36" s="35" t="s">
        <v>128</v>
      </c>
      <c r="B36" s="35"/>
      <c r="C36" s="25" t="s">
        <v>85</v>
      </c>
      <c r="D36" s="21" t="s">
        <v>84</v>
      </c>
      <c r="E36" s="21" t="s">
        <v>2</v>
      </c>
      <c r="F36" s="21" t="s">
        <v>80</v>
      </c>
      <c r="G36" s="27">
        <f>31707+2046</f>
        <v>33753</v>
      </c>
      <c r="I36" s="51">
        <f>(G36+N36)*1.03+$H$47</f>
        <v>49910.54</v>
      </c>
      <c r="J36" s="21" t="s">
        <v>75</v>
      </c>
      <c r="K36" s="21" t="s">
        <v>115</v>
      </c>
      <c r="L36" s="21" t="s">
        <v>89</v>
      </c>
      <c r="N36" s="27">
        <f t="shared" ref="N36:N38" si="2">65*41</f>
        <v>2665</v>
      </c>
      <c r="O36" s="21" t="s">
        <v>71</v>
      </c>
    </row>
    <row r="37" spans="1:21" s="21" customFormat="1">
      <c r="A37" s="35"/>
      <c r="B37" s="35"/>
      <c r="C37" s="25" t="s">
        <v>85</v>
      </c>
      <c r="D37" s="21" t="s">
        <v>91</v>
      </c>
      <c r="E37" s="21" t="s">
        <v>2</v>
      </c>
      <c r="F37" s="21" t="s">
        <v>80</v>
      </c>
      <c r="G37" s="29">
        <f>34980+2046</f>
        <v>37026</v>
      </c>
      <c r="I37" s="51">
        <f>(G37+N37)*1.03+$H$47</f>
        <v>53281.73</v>
      </c>
      <c r="J37" s="21" t="s">
        <v>75</v>
      </c>
      <c r="K37" s="21" t="s">
        <v>116</v>
      </c>
      <c r="L37" s="21" t="s">
        <v>92</v>
      </c>
      <c r="N37" s="27">
        <f t="shared" si="2"/>
        <v>2665</v>
      </c>
      <c r="O37" s="21" t="s">
        <v>71</v>
      </c>
    </row>
    <row r="38" spans="1:21" s="30" customFormat="1" ht="15.75" thickBot="1">
      <c r="A38" s="36"/>
      <c r="B38" s="36"/>
      <c r="C38" s="31" t="s">
        <v>94</v>
      </c>
      <c r="D38" s="30" t="s">
        <v>93</v>
      </c>
      <c r="E38" s="30" t="s">
        <v>2</v>
      </c>
      <c r="F38" s="30" t="s">
        <v>80</v>
      </c>
      <c r="G38" s="32">
        <f>35593+2046</f>
        <v>37639</v>
      </c>
      <c r="I38" s="59">
        <f>(G38+N38)*1.03+$H$47</f>
        <v>53913.120000000003</v>
      </c>
      <c r="J38" s="30" t="s">
        <v>75</v>
      </c>
      <c r="K38" s="30" t="s">
        <v>117</v>
      </c>
      <c r="N38" s="32">
        <f t="shared" si="2"/>
        <v>2665</v>
      </c>
      <c r="O38" s="30" t="s">
        <v>71</v>
      </c>
    </row>
    <row r="39" spans="1:21" ht="15.75" thickBot="1">
      <c r="C39" s="3" t="s">
        <v>29</v>
      </c>
      <c r="D39" s="5"/>
    </row>
    <row r="40" spans="1:21" s="11" customFormat="1">
      <c r="A40" s="37"/>
      <c r="B40" s="37" t="s">
        <v>151</v>
      </c>
      <c r="C40" s="10" t="s">
        <v>37</v>
      </c>
      <c r="D40" s="11" t="s">
        <v>33</v>
      </c>
      <c r="F40" s="11" t="s">
        <v>3</v>
      </c>
      <c r="G40" s="12">
        <f>29.1*3809*1.02</f>
        <v>113058.73800000001</v>
      </c>
      <c r="I40" s="60">
        <f>G40+$H$47</f>
        <v>125458.73800000001</v>
      </c>
      <c r="J40" s="11" t="s">
        <v>72</v>
      </c>
      <c r="K40" s="11" t="s">
        <v>118</v>
      </c>
      <c r="N40" s="12"/>
      <c r="O40" s="11">
        <f>I40/2</f>
        <v>62729.369000000006</v>
      </c>
      <c r="U40" s="11" t="s">
        <v>9</v>
      </c>
    </row>
    <row r="41" spans="1:21" s="14" customFormat="1">
      <c r="A41" s="38"/>
      <c r="B41" s="38"/>
      <c r="C41" s="13" t="s">
        <v>36</v>
      </c>
      <c r="D41" s="14" t="s">
        <v>34</v>
      </c>
      <c r="F41" s="14" t="s">
        <v>3</v>
      </c>
      <c r="G41" s="15">
        <f>29.1*4178*1.02</f>
        <v>124011.39600000001</v>
      </c>
      <c r="I41" s="55">
        <f t="shared" ref="I41:I43" si="3">G41+$H$47</f>
        <v>136411.39600000001</v>
      </c>
      <c r="J41" s="14" t="s">
        <v>72</v>
      </c>
      <c r="N41" s="15"/>
      <c r="O41" s="14">
        <f t="shared" ref="O41:O46" si="4">I41/2</f>
        <v>68205.698000000004</v>
      </c>
      <c r="U41" s="19" t="s">
        <v>32</v>
      </c>
    </row>
    <row r="42" spans="1:21" s="14" customFormat="1">
      <c r="A42" s="38"/>
      <c r="B42" s="38"/>
      <c r="C42" s="13" t="s">
        <v>37</v>
      </c>
      <c r="D42" s="14" t="s">
        <v>35</v>
      </c>
      <c r="F42" s="14" t="s">
        <v>3</v>
      </c>
      <c r="G42" s="15">
        <f>29.1*3247*1.02</f>
        <v>96377.454000000012</v>
      </c>
      <c r="I42" s="61">
        <f t="shared" si="3"/>
        <v>108777.45400000001</v>
      </c>
      <c r="J42" s="14" t="s">
        <v>72</v>
      </c>
      <c r="K42" s="14" t="s">
        <v>119</v>
      </c>
      <c r="N42" s="15"/>
      <c r="O42" s="14">
        <f t="shared" si="4"/>
        <v>54388.727000000006</v>
      </c>
    </row>
    <row r="43" spans="1:21">
      <c r="C43" t="s">
        <v>129</v>
      </c>
      <c r="G43" s="4">
        <v>112674</v>
      </c>
      <c r="I43" s="61">
        <f t="shared" si="3"/>
        <v>125074</v>
      </c>
      <c r="J43" s="14" t="s">
        <v>72</v>
      </c>
      <c r="K43" s="4" t="s">
        <v>130</v>
      </c>
    </row>
    <row r="44" spans="1:21" s="14" customFormat="1">
      <c r="A44" s="38"/>
      <c r="B44" s="38"/>
      <c r="C44" s="13" t="s">
        <v>37</v>
      </c>
      <c r="D44" s="14" t="s">
        <v>33</v>
      </c>
      <c r="F44" s="14" t="s">
        <v>3</v>
      </c>
      <c r="G44" s="15">
        <f>3592*29.1*1.02</f>
        <v>106617.74400000002</v>
      </c>
      <c r="I44" s="56">
        <f>G44+$N$47</f>
        <v>123317.74400000002</v>
      </c>
      <c r="J44" s="14" t="s">
        <v>72</v>
      </c>
      <c r="K44" s="14" t="s">
        <v>120</v>
      </c>
      <c r="N44" s="15"/>
      <c r="O44" s="14">
        <f>I44/2</f>
        <v>61658.87200000001</v>
      </c>
      <c r="U44" s="14" t="s">
        <v>38</v>
      </c>
    </row>
    <row r="45" spans="1:21" s="14" customFormat="1">
      <c r="A45" s="38"/>
      <c r="B45" s="38"/>
      <c r="C45" s="13" t="s">
        <v>36</v>
      </c>
      <c r="D45" s="14" t="s">
        <v>34</v>
      </c>
      <c r="F45" s="14" t="s">
        <v>3</v>
      </c>
      <c r="G45" s="15">
        <f>4232*29.1*1.02</f>
        <v>125614.22400000002</v>
      </c>
      <c r="I45" s="56">
        <f>G45+$N$47</f>
        <v>142314.22400000002</v>
      </c>
      <c r="J45" s="14" t="s">
        <v>72</v>
      </c>
      <c r="K45" s="14" t="s">
        <v>120</v>
      </c>
      <c r="N45" s="15"/>
      <c r="O45" s="14">
        <f>I45/2</f>
        <v>71157.112000000008</v>
      </c>
      <c r="U45" s="19" t="s">
        <v>32</v>
      </c>
    </row>
    <row r="46" spans="1:21" s="17" customFormat="1" ht="15.75" thickBot="1">
      <c r="A46" s="39"/>
      <c r="B46" s="39"/>
      <c r="C46" s="16" t="s">
        <v>37</v>
      </c>
      <c r="D46" s="17" t="s">
        <v>35</v>
      </c>
      <c r="F46" s="17" t="s">
        <v>3</v>
      </c>
      <c r="G46" s="18">
        <f>3277*29.1*1.02</f>
        <v>97267.914000000019</v>
      </c>
      <c r="I46" s="62">
        <f>G46+$N$47</f>
        <v>113967.91400000002</v>
      </c>
      <c r="J46" s="17" t="s">
        <v>72</v>
      </c>
      <c r="K46" s="14" t="s">
        <v>120</v>
      </c>
      <c r="N46" s="18"/>
      <c r="O46" s="17">
        <f t="shared" si="4"/>
        <v>56983.957000000009</v>
      </c>
    </row>
    <row r="47" spans="1:21" s="6" customFormat="1">
      <c r="A47" s="44"/>
      <c r="B47" s="44"/>
      <c r="C47" s="6" t="s">
        <v>30</v>
      </c>
      <c r="F47" s="6" t="s">
        <v>139</v>
      </c>
      <c r="G47" s="7" t="s">
        <v>140</v>
      </c>
      <c r="H47" s="6">
        <f>6200+6200</f>
        <v>12400</v>
      </c>
      <c r="I47" s="63"/>
      <c r="J47" s="7"/>
      <c r="K47" s="7"/>
      <c r="M47" s="7" t="s">
        <v>141</v>
      </c>
      <c r="N47" s="7">
        <f>8350+8350</f>
        <v>16700</v>
      </c>
    </row>
    <row r="48" spans="1:21" s="8" customFormat="1">
      <c r="A48" s="41"/>
      <c r="B48" s="40" t="s">
        <v>149</v>
      </c>
      <c r="C48" s="8" t="s">
        <v>31</v>
      </c>
      <c r="G48" s="1">
        <f>28*2925</f>
        <v>81900</v>
      </c>
      <c r="I48" s="52">
        <f>8800*2+G48</f>
        <v>99500</v>
      </c>
      <c r="J48" s="8" t="s">
        <v>40</v>
      </c>
      <c r="N48" s="8" t="s">
        <v>39</v>
      </c>
    </row>
    <row r="49" spans="2:14">
      <c r="I49" s="55">
        <f>9000*2</f>
        <v>18000</v>
      </c>
    </row>
    <row r="50" spans="2:14">
      <c r="B50" s="40" t="s">
        <v>149</v>
      </c>
      <c r="C50" s="3" t="s">
        <v>152</v>
      </c>
      <c r="D50" t="s">
        <v>41</v>
      </c>
      <c r="E50" s="3" t="s">
        <v>43</v>
      </c>
      <c r="F50" s="3" t="s">
        <v>42</v>
      </c>
      <c r="G50" s="4">
        <f>6000*28</f>
        <v>168000</v>
      </c>
      <c r="I50" s="55">
        <f>G50+$I$49</f>
        <v>186000</v>
      </c>
      <c r="J50" t="s">
        <v>111</v>
      </c>
      <c r="K50"/>
      <c r="N50" s="8" t="s">
        <v>39</v>
      </c>
    </row>
    <row r="51" spans="2:14">
      <c r="C51" s="3" t="s">
        <v>152</v>
      </c>
      <c r="D51" s="3" t="s">
        <v>44</v>
      </c>
      <c r="E51" s="3" t="s">
        <v>46</v>
      </c>
      <c r="F51" s="3" t="s">
        <v>45</v>
      </c>
      <c r="G51" s="4">
        <f>3400*28</f>
        <v>95200</v>
      </c>
      <c r="I51" s="55">
        <f>G51+$I$49</f>
        <v>113200</v>
      </c>
      <c r="J51" t="s">
        <v>111</v>
      </c>
      <c r="K51"/>
      <c r="N51" s="8" t="s">
        <v>39</v>
      </c>
    </row>
    <row r="52" spans="2:14">
      <c r="C52" s="3" t="s">
        <v>152</v>
      </c>
      <c r="D52" s="3" t="s">
        <v>47</v>
      </c>
      <c r="E52" s="3" t="s">
        <v>48</v>
      </c>
      <c r="G52" s="4">
        <f>3200*28</f>
        <v>89600</v>
      </c>
      <c r="I52" s="55">
        <f>G52+$I$49</f>
        <v>107600</v>
      </c>
      <c r="J52" t="s">
        <v>111</v>
      </c>
      <c r="K52" t="s">
        <v>122</v>
      </c>
      <c r="L52" s="3" t="s">
        <v>123</v>
      </c>
      <c r="N52" s="8" t="s">
        <v>39</v>
      </c>
    </row>
    <row r="53" spans="2:14">
      <c r="C53" s="3" t="s">
        <v>152</v>
      </c>
      <c r="D53" s="3" t="s">
        <v>53</v>
      </c>
      <c r="E53" s="3" t="s">
        <v>43</v>
      </c>
      <c r="F53" s="3" t="s">
        <v>50</v>
      </c>
      <c r="G53" s="4">
        <f>4212*28</f>
        <v>117936</v>
      </c>
      <c r="H53" s="3" t="s">
        <v>49</v>
      </c>
      <c r="I53" s="55">
        <f t="shared" ref="I53:I55" si="5">G53+$I$49</f>
        <v>135936</v>
      </c>
      <c r="J53" t="s">
        <v>111</v>
      </c>
      <c r="K53" s="3" t="s">
        <v>52</v>
      </c>
      <c r="N53" s="8" t="s">
        <v>39</v>
      </c>
    </row>
    <row r="54" spans="2:14">
      <c r="C54" s="3" t="s">
        <v>152</v>
      </c>
      <c r="D54" s="3" t="s">
        <v>53</v>
      </c>
      <c r="E54" s="3" t="s">
        <v>43</v>
      </c>
      <c r="F54" s="3" t="s">
        <v>50</v>
      </c>
      <c r="G54" s="4">
        <f>3492*28</f>
        <v>97776</v>
      </c>
      <c r="H54" s="3" t="s">
        <v>51</v>
      </c>
      <c r="I54" s="55">
        <f t="shared" si="5"/>
        <v>115776</v>
      </c>
      <c r="J54" t="s">
        <v>111</v>
      </c>
      <c r="K54" s="3" t="s">
        <v>52</v>
      </c>
      <c r="N54" s="8" t="s">
        <v>39</v>
      </c>
    </row>
    <row r="55" spans="2:14">
      <c r="C55" s="3" t="s">
        <v>152</v>
      </c>
      <c r="D55" s="3" t="s">
        <v>56</v>
      </c>
      <c r="E55" s="3" t="s">
        <v>54</v>
      </c>
      <c r="F55" s="3" t="s">
        <v>57</v>
      </c>
      <c r="G55" s="4">
        <f>1900*28</f>
        <v>53200</v>
      </c>
      <c r="H55" s="3" t="s">
        <v>55</v>
      </c>
      <c r="I55" s="55">
        <f t="shared" si="5"/>
        <v>71200</v>
      </c>
      <c r="J55" t="s">
        <v>111</v>
      </c>
      <c r="K55" t="s">
        <v>121</v>
      </c>
      <c r="N55" s="8" t="s">
        <v>39</v>
      </c>
    </row>
    <row r="70" spans="3:3">
      <c r="C70" s="3" t="s">
        <v>131</v>
      </c>
    </row>
    <row r="71" spans="3:3">
      <c r="C71" s="3" t="s">
        <v>132</v>
      </c>
    </row>
    <row r="72" spans="3:3">
      <c r="C72" s="3" t="s">
        <v>133</v>
      </c>
    </row>
    <row r="73" spans="3:3">
      <c r="C73" s="3" t="s">
        <v>134</v>
      </c>
    </row>
    <row r="74" spans="3:3">
      <c r="C74" s="3" t="s">
        <v>135</v>
      </c>
    </row>
    <row r="75" spans="3:3">
      <c r="C75" s="3" t="s">
        <v>136</v>
      </c>
    </row>
    <row r="76" spans="3:3">
      <c r="C76" s="3" t="s">
        <v>137</v>
      </c>
    </row>
  </sheetData>
  <hyperlinks>
    <hyperlink ref="E16" r:id="rId1" tooltip="Информация о отеле" display="http://ics.travel/hotel/669/index.html"/>
    <hyperlink ref="G35" r:id="rId2" tooltip="Забронировать тур" display="http://ics.travel/book/order.html?id=407422220&amp;cid=129810233&amp;infant=1"/>
    <hyperlink ref="G37" r:id="rId3" tooltip="Забронировать тур" display="http://ics.travel/book/order.html?id=407383634&amp;cid=129810233&amp;infant=1"/>
    <hyperlink ref="E17" r:id="rId4" tooltip="Информация о отеле" display="http://ics.travel/hotel/669/index.html"/>
    <hyperlink ref="E18" r:id="rId5" tooltip="Информация о отеле" display="http://ics.travel/hotel/669/index.html"/>
    <hyperlink ref="K4" r:id="rId6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2011-03-17T11:15:51Z</dcterms:created>
  <dcterms:modified xsi:type="dcterms:W3CDTF">2011-03-21T05:59:39Z</dcterms:modified>
</cp:coreProperties>
</file>